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meinders\Desktop\"/>
    </mc:Choice>
  </mc:AlternateContent>
  <bookViews>
    <workbookView xWindow="0" yWindow="0" windowWidth="24180" windowHeight="7965"/>
  </bookViews>
  <sheets>
    <sheet name="Sheet1" sheetId="1" r:id="rId1"/>
    <sheet name="Sheet2" sheetId="2" r:id="rId2"/>
    <sheet name="Sheet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1" l="1"/>
  <c r="K26" i="1"/>
  <c r="K25" i="1"/>
  <c r="M26" i="1"/>
  <c r="M25" i="1"/>
  <c r="I26" i="1"/>
  <c r="I25" i="1"/>
  <c r="M32" i="1"/>
  <c r="M31" i="1"/>
  <c r="M30" i="1"/>
  <c r="M29" i="1"/>
  <c r="M28" i="1"/>
  <c r="M27" i="1"/>
  <c r="K32" i="1"/>
  <c r="K31" i="1"/>
  <c r="K30" i="1"/>
  <c r="K29" i="1"/>
  <c r="K28" i="1"/>
  <c r="K27" i="1"/>
  <c r="I32" i="1"/>
  <c r="I31" i="1"/>
  <c r="I30" i="1"/>
  <c r="I29" i="1"/>
  <c r="I28" i="1"/>
  <c r="I27" i="1"/>
  <c r="G26" i="1"/>
  <c r="G25" i="1"/>
  <c r="G32" i="1"/>
  <c r="G31" i="1"/>
  <c r="G30" i="1"/>
  <c r="G29" i="1"/>
  <c r="G28" i="1"/>
  <c r="G27" i="1"/>
  <c r="L26" i="1"/>
  <c r="L27" i="1"/>
  <c r="L28" i="1"/>
  <c r="L29" i="1"/>
  <c r="L30" i="1"/>
  <c r="L31" i="1"/>
  <c r="L32" i="1"/>
  <c r="L25" i="1"/>
  <c r="J26" i="1"/>
  <c r="J27" i="1"/>
  <c r="J28" i="1"/>
  <c r="J29" i="1"/>
  <c r="J30" i="1"/>
  <c r="J31" i="1"/>
  <c r="J32" i="1"/>
  <c r="J25" i="1"/>
  <c r="H26" i="1"/>
  <c r="H27" i="1"/>
  <c r="H28" i="1"/>
  <c r="H29" i="1"/>
  <c r="H30" i="1"/>
  <c r="H31" i="1"/>
  <c r="H32" i="1"/>
  <c r="H25" i="1"/>
  <c r="F26" i="1"/>
  <c r="F27" i="1"/>
  <c r="F28" i="1"/>
  <c r="F29" i="1"/>
  <c r="F30" i="1"/>
  <c r="F31" i="1"/>
  <c r="F32" i="1"/>
  <c r="F25" i="1"/>
  <c r="A30" i="1"/>
  <c r="M5" i="1"/>
  <c r="N5" i="1"/>
  <c r="M9" i="1"/>
  <c r="N9" i="1"/>
  <c r="M11" i="1"/>
  <c r="N11" i="1"/>
  <c r="M13" i="1"/>
  <c r="N13" i="1"/>
  <c r="M15" i="1"/>
  <c r="N15" i="1"/>
  <c r="N17" i="1"/>
  <c r="M17" i="1"/>
</calcChain>
</file>

<file path=xl/sharedStrings.xml><?xml version="1.0" encoding="utf-8"?>
<sst xmlns="http://schemas.openxmlformats.org/spreadsheetml/2006/main" count="39" uniqueCount="33">
  <si>
    <t>Sample loading problem</t>
  </si>
  <si>
    <t>Sample airplane</t>
  </si>
  <si>
    <t>PH-JPO</t>
  </si>
  <si>
    <t>Licensed empty weight
Includes unusable fuel</t>
  </si>
  <si>
    <t>Long range tanks (189L max)</t>
  </si>
  <si>
    <t>Pilot and front passenger</t>
  </si>
  <si>
    <t>Rear passengers</t>
  </si>
  <si>
    <t>Baggage area 1 or pax child seat (station 82 to 108) 120lbs max.</t>
  </si>
  <si>
    <t>Baggage area 2 (station 108 to 142)
50 lbs max.</t>
  </si>
  <si>
    <t>Total weight and moment</t>
  </si>
  <si>
    <t>Usable fuel (at 0,72kg/l)
Standard tanks (152L max.)</t>
  </si>
  <si>
    <t>Brandstof (Liters)</t>
  </si>
  <si>
    <t>Piloot en voorste passagier (kg)</t>
  </si>
  <si>
    <t>Bagage gebied 1 (kg)</t>
  </si>
  <si>
    <t>Bagage gebied 2 (kg)</t>
  </si>
  <si>
    <t>Achterste passagiers (kg)</t>
  </si>
  <si>
    <t>Naam gezagvoerder</t>
  </si>
  <si>
    <t>The maximum allowable combined weight capacity for baggage areas 1 and 2 is 54 kg.</t>
  </si>
  <si>
    <t>Performance</t>
  </si>
  <si>
    <t>Hoek inkomende wind</t>
  </si>
  <si>
    <t>Windsnelheid (Kts)</t>
  </si>
  <si>
    <t>Pres.</t>
  </si>
  <si>
    <t>Alt. (ft)</t>
  </si>
  <si>
    <t>Gewicht (KG)</t>
  </si>
  <si>
    <t>Headwind:</t>
  </si>
  <si>
    <t>Crosswind:</t>
  </si>
  <si>
    <t>0°C  GRND ROLL (m)</t>
  </si>
  <si>
    <t>10°C  GRND ROLL (m)</t>
  </si>
  <si>
    <t>20°C  GRND ROLL (m)</t>
  </si>
  <si>
    <t>30°C  GRND ROLL (m)</t>
  </si>
  <si>
    <t>ASPH</t>
  </si>
  <si>
    <t>GRASS</t>
  </si>
  <si>
    <t>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</si>
</sst>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000000"/>
      <name val="Calibri"/>
      <scheme val="minor"/>
    </font>
    <font>
      <i/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6" xfId="0" applyBorder="1" applyAlignment="1"/>
    <xf numFmtId="0" fontId="0" fillId="0" borderId="1" xfId="0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3" xfId="0" applyFill="1" applyBorder="1" applyAlignment="1"/>
    <xf numFmtId="0" fontId="0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</cellXfs>
  <cellStyles count="15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68865595622"/>
          <c:y val="0.14917275628316201"/>
          <c:w val="0.79430150848978298"/>
          <c:h val="0.72108310202231896"/>
        </c:manualLayout>
      </c:layout>
      <c:bubbleChart>
        <c:varyColors val="0"/>
        <c:ser>
          <c:idx val="0"/>
          <c:order val="0"/>
          <c:invertIfNegative val="0"/>
          <c:xVal>
            <c:numRef>
              <c:f>Sheet1!$N$17</c:f>
              <c:numCache>
                <c:formatCode>0.0</c:formatCode>
                <c:ptCount val="1"/>
                <c:pt idx="0">
                  <c:v>937.0927317510077</c:v>
                </c:pt>
              </c:numCache>
            </c:numRef>
          </c:xVal>
          <c:yVal>
            <c:numRef>
              <c:f>Sheet1!$M$17</c:f>
              <c:numCache>
                <c:formatCode>General</c:formatCode>
                <c:ptCount val="1"/>
                <c:pt idx="0">
                  <c:v>868.36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BDC2-47AA-991F-691A1545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"/>
        <c:showNegBubbles val="0"/>
        <c:axId val="2115836488"/>
        <c:axId val="2115839992"/>
      </c:bubbleChart>
      <c:valAx>
        <c:axId val="2115836488"/>
        <c:scaling>
          <c:orientation val="minMax"/>
          <c:max val="1320"/>
          <c:min val="520"/>
        </c:scaling>
        <c:delete val="0"/>
        <c:axPos val="b"/>
        <c:numFmt formatCode="0.0" sourceLinked="1"/>
        <c:majorTickMark val="out"/>
        <c:minorTickMark val="none"/>
        <c:tickLblPos val="none"/>
        <c:spPr>
          <a:noFill/>
          <a:ln>
            <a:noFill/>
          </a:ln>
        </c:spPr>
        <c:crossAx val="2115839992"/>
        <c:crosses val="autoZero"/>
        <c:crossBetween val="midCat"/>
      </c:valAx>
      <c:valAx>
        <c:axId val="2115839992"/>
        <c:scaling>
          <c:orientation val="minMax"/>
          <c:max val="1090"/>
          <c:min val="68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 b="0"/>
            </a:pPr>
            <a:endParaRPr lang="nl-NL"/>
          </a:p>
        </c:txPr>
        <c:crossAx val="211583648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120649</xdr:colOff>
      <xdr:row>6</xdr:row>
      <xdr:rowOff>152400</xdr:rowOff>
    </xdr:from>
    <xdr:to>
      <xdr:col>6</xdr:col>
      <xdr:colOff>508000</xdr:colOff>
      <xdr:row>20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Layout" zoomScale="125" zoomScaleNormal="54" zoomScalePageLayoutView="125" workbookViewId="0">
      <selection activeCell="A26" sqref="A26:B26"/>
    </sheetView>
  </sheetViews>
  <sheetFormatPr defaultColWidth="8.85546875" defaultRowHeight="15" x14ac:dyDescent="0.25"/>
  <sheetData>
    <row r="1" spans="1:14" x14ac:dyDescent="0.25">
      <c r="A1" s="14" t="s">
        <v>16</v>
      </c>
      <c r="B1" s="15"/>
      <c r="C1" s="15"/>
      <c r="D1" s="15" t="s">
        <v>11</v>
      </c>
      <c r="E1" s="15"/>
      <c r="F1" s="16"/>
      <c r="H1" s="9" t="s">
        <v>0</v>
      </c>
      <c r="I1" s="9"/>
      <c r="J1" s="9"/>
      <c r="K1" s="9" t="s">
        <v>1</v>
      </c>
      <c r="L1" s="9"/>
      <c r="M1" s="9" t="s">
        <v>2</v>
      </c>
      <c r="N1" s="9"/>
    </row>
    <row r="2" spans="1:14" x14ac:dyDescent="0.25">
      <c r="A2" s="44" t="s">
        <v>32</v>
      </c>
      <c r="B2" s="45"/>
      <c r="C2" s="45"/>
      <c r="D2" s="44">
        <v>70</v>
      </c>
      <c r="E2" s="45"/>
      <c r="F2" s="46"/>
      <c r="G2" s="1"/>
      <c r="H2" s="9"/>
      <c r="I2" s="9"/>
      <c r="J2" s="9"/>
      <c r="K2" s="9"/>
      <c r="L2" s="9"/>
      <c r="M2" s="9"/>
      <c r="N2" s="9"/>
    </row>
    <row r="3" spans="1:14" x14ac:dyDescent="0.25">
      <c r="A3" s="17" t="s">
        <v>12</v>
      </c>
      <c r="B3" s="18"/>
      <c r="C3" s="18"/>
      <c r="D3" s="18" t="s">
        <v>15</v>
      </c>
      <c r="E3" s="18"/>
      <c r="F3" s="19"/>
      <c r="H3" s="20" t="s">
        <v>3</v>
      </c>
      <c r="I3" s="21"/>
      <c r="J3" s="21"/>
      <c r="K3" s="10">
        <v>648</v>
      </c>
      <c r="L3" s="12">
        <v>628</v>
      </c>
      <c r="M3" s="10">
        <v>657.96</v>
      </c>
      <c r="N3" s="12">
        <v>712.19</v>
      </c>
    </row>
    <row r="4" spans="1:14" x14ac:dyDescent="0.25">
      <c r="A4" s="44">
        <v>150</v>
      </c>
      <c r="B4" s="45"/>
      <c r="C4" s="45"/>
      <c r="D4" s="44">
        <v>0</v>
      </c>
      <c r="E4" s="45"/>
      <c r="F4" s="46"/>
      <c r="H4" s="21"/>
      <c r="I4" s="21"/>
      <c r="J4" s="21"/>
      <c r="K4" s="11"/>
      <c r="L4" s="13"/>
      <c r="M4" s="11"/>
      <c r="N4" s="13"/>
    </row>
    <row r="5" spans="1:14" x14ac:dyDescent="0.25">
      <c r="A5" s="17" t="s">
        <v>13</v>
      </c>
      <c r="B5" s="18"/>
      <c r="C5" s="18"/>
      <c r="D5" s="18" t="s">
        <v>14</v>
      </c>
      <c r="E5" s="18"/>
      <c r="F5" s="19"/>
      <c r="H5" s="20" t="s">
        <v>10</v>
      </c>
      <c r="I5" s="21"/>
      <c r="J5" s="21"/>
      <c r="K5" s="10">
        <v>108</v>
      </c>
      <c r="L5" s="12">
        <v>132</v>
      </c>
      <c r="M5" s="10">
        <f>D2*0.72</f>
        <v>50.4</v>
      </c>
      <c r="N5" s="22">
        <f>(L5/K5)*M5</f>
        <v>61.6</v>
      </c>
    </row>
    <row r="6" spans="1:14" x14ac:dyDescent="0.25">
      <c r="A6" s="47">
        <v>10</v>
      </c>
      <c r="B6" s="48"/>
      <c r="C6" s="48"/>
      <c r="D6" s="47">
        <v>0</v>
      </c>
      <c r="E6" s="48"/>
      <c r="F6" s="49"/>
      <c r="H6" s="21"/>
      <c r="I6" s="21"/>
      <c r="J6" s="21"/>
      <c r="K6" s="11"/>
      <c r="L6" s="13"/>
      <c r="M6" s="11"/>
      <c r="N6" s="23"/>
    </row>
    <row r="7" spans="1:14" x14ac:dyDescent="0.25">
      <c r="H7" s="21" t="s">
        <v>4</v>
      </c>
      <c r="I7" s="21"/>
      <c r="J7" s="21"/>
      <c r="K7" s="10"/>
      <c r="L7" s="12"/>
      <c r="M7" s="10"/>
      <c r="N7" s="22"/>
    </row>
    <row r="8" spans="1:14" x14ac:dyDescent="0.25">
      <c r="H8" s="21"/>
      <c r="I8" s="21"/>
      <c r="J8" s="21"/>
      <c r="K8" s="11"/>
      <c r="L8" s="13"/>
      <c r="M8" s="11"/>
      <c r="N8" s="23"/>
    </row>
    <row r="9" spans="1:14" x14ac:dyDescent="0.25">
      <c r="H9" s="21" t="s">
        <v>5</v>
      </c>
      <c r="I9" s="21"/>
      <c r="J9" s="21"/>
      <c r="K9" s="10">
        <v>154</v>
      </c>
      <c r="L9" s="12">
        <v>145</v>
      </c>
      <c r="M9" s="10">
        <f>A4</f>
        <v>150</v>
      </c>
      <c r="N9" s="22">
        <f>(L9/K9)*M9</f>
        <v>141.23376623376623</v>
      </c>
    </row>
    <row r="10" spans="1:14" x14ac:dyDescent="0.25">
      <c r="H10" s="21"/>
      <c r="I10" s="21"/>
      <c r="J10" s="21"/>
      <c r="K10" s="11"/>
      <c r="L10" s="13"/>
      <c r="M10" s="11"/>
      <c r="N10" s="23"/>
    </row>
    <row r="11" spans="1:14" x14ac:dyDescent="0.25">
      <c r="H11" s="21" t="s">
        <v>6</v>
      </c>
      <c r="I11" s="21"/>
      <c r="J11" s="21"/>
      <c r="K11" s="10">
        <v>77</v>
      </c>
      <c r="L11" s="12">
        <v>142</v>
      </c>
      <c r="M11" s="10">
        <f>D4</f>
        <v>0</v>
      </c>
      <c r="N11" s="22">
        <f>(L11/K11)*M11</f>
        <v>0</v>
      </c>
    </row>
    <row r="12" spans="1:14" x14ac:dyDescent="0.25">
      <c r="H12" s="21"/>
      <c r="I12" s="21"/>
      <c r="J12" s="21"/>
      <c r="K12" s="11"/>
      <c r="L12" s="13"/>
      <c r="M12" s="11"/>
      <c r="N12" s="23"/>
    </row>
    <row r="13" spans="1:14" x14ac:dyDescent="0.25">
      <c r="H13" s="20" t="s">
        <v>7</v>
      </c>
      <c r="I13" s="21"/>
      <c r="J13" s="21"/>
      <c r="K13" s="10">
        <v>58</v>
      </c>
      <c r="L13" s="12">
        <v>128</v>
      </c>
      <c r="M13" s="10">
        <f>A6</f>
        <v>10</v>
      </c>
      <c r="N13" s="22">
        <f>(L13/K13)*M13</f>
        <v>22.068965517241381</v>
      </c>
    </row>
    <row r="14" spans="1:14" x14ac:dyDescent="0.25">
      <c r="H14" s="21"/>
      <c r="I14" s="21"/>
      <c r="J14" s="21"/>
      <c r="K14" s="11"/>
      <c r="L14" s="13"/>
      <c r="M14" s="11"/>
      <c r="N14" s="23"/>
    </row>
    <row r="15" spans="1:14" x14ac:dyDescent="0.25">
      <c r="H15" s="20" t="s">
        <v>8</v>
      </c>
      <c r="I15" s="21"/>
      <c r="J15" s="21"/>
      <c r="K15" s="10"/>
      <c r="L15" s="12"/>
      <c r="M15" s="10">
        <f>D6</f>
        <v>0</v>
      </c>
      <c r="N15" s="22">
        <f>((123*2.54)/100)*M15</f>
        <v>0</v>
      </c>
    </row>
    <row r="16" spans="1:14" x14ac:dyDescent="0.25">
      <c r="H16" s="21"/>
      <c r="I16" s="21"/>
      <c r="J16" s="21"/>
      <c r="K16" s="11"/>
      <c r="L16" s="13"/>
      <c r="M16" s="11"/>
      <c r="N16" s="23"/>
    </row>
    <row r="17" spans="1:14" x14ac:dyDescent="0.25">
      <c r="H17" s="24" t="s">
        <v>9</v>
      </c>
      <c r="I17" s="24"/>
      <c r="J17" s="24"/>
      <c r="K17" s="10">
        <v>1043</v>
      </c>
      <c r="L17" s="12">
        <v>1175</v>
      </c>
      <c r="M17" s="25">
        <f>SUM(M3:M16)</f>
        <v>868.36</v>
      </c>
      <c r="N17" s="22">
        <f>SUM(N3:N16)</f>
        <v>937.0927317510077</v>
      </c>
    </row>
    <row r="18" spans="1:14" x14ac:dyDescent="0.25">
      <c r="H18" s="24"/>
      <c r="I18" s="24"/>
      <c r="J18" s="24"/>
      <c r="K18" s="11"/>
      <c r="L18" s="13"/>
      <c r="M18" s="26"/>
      <c r="N18" s="23"/>
    </row>
    <row r="19" spans="1:14" x14ac:dyDescent="0.25">
      <c r="H19" s="27" t="s">
        <v>17</v>
      </c>
      <c r="I19" s="27"/>
      <c r="J19" s="27"/>
      <c r="K19" s="27"/>
      <c r="L19" s="27"/>
      <c r="M19" s="27"/>
      <c r="N19" s="27"/>
    </row>
    <row r="20" spans="1:14" x14ac:dyDescent="0.25">
      <c r="H20" s="27"/>
      <c r="I20" s="27"/>
      <c r="J20" s="27"/>
      <c r="K20" s="27"/>
      <c r="L20" s="27"/>
      <c r="M20" s="27"/>
      <c r="N20" s="27"/>
    </row>
    <row r="21" spans="1:14" x14ac:dyDescent="0.25">
      <c r="A21" s="28" t="s">
        <v>18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x14ac:dyDescent="0.25">
      <c r="A23" s="29" t="s">
        <v>19</v>
      </c>
      <c r="B23" s="30"/>
      <c r="C23" s="34" t="s">
        <v>23</v>
      </c>
      <c r="D23" s="35"/>
      <c r="E23" s="3" t="s">
        <v>21</v>
      </c>
      <c r="F23" s="29" t="s">
        <v>26</v>
      </c>
      <c r="G23" s="30"/>
      <c r="H23" s="29" t="s">
        <v>27</v>
      </c>
      <c r="I23" s="30"/>
      <c r="J23" s="29" t="s">
        <v>28</v>
      </c>
      <c r="K23" s="30"/>
      <c r="L23" s="33" t="s">
        <v>29</v>
      </c>
      <c r="M23" s="30"/>
    </row>
    <row r="24" spans="1:14" x14ac:dyDescent="0.25">
      <c r="A24" s="50">
        <v>30</v>
      </c>
      <c r="B24" s="51"/>
      <c r="C24" s="36"/>
      <c r="D24" s="37"/>
      <c r="E24" s="4" t="s">
        <v>22</v>
      </c>
      <c r="F24" s="7" t="s">
        <v>31</v>
      </c>
      <c r="G24" s="7" t="s">
        <v>30</v>
      </c>
      <c r="H24" s="7" t="s">
        <v>31</v>
      </c>
      <c r="I24" s="7" t="s">
        <v>30</v>
      </c>
      <c r="J24" s="7" t="s">
        <v>31</v>
      </c>
      <c r="K24" s="7" t="s">
        <v>30</v>
      </c>
      <c r="L24" s="7" t="s">
        <v>31</v>
      </c>
      <c r="M24" s="7" t="s">
        <v>30</v>
      </c>
    </row>
    <row r="25" spans="1:14" x14ac:dyDescent="0.25">
      <c r="A25" s="31" t="s">
        <v>20</v>
      </c>
      <c r="B25" s="32"/>
      <c r="C25" s="38">
        <v>1089</v>
      </c>
      <c r="D25" s="38"/>
      <c r="E25" s="2">
        <v>0</v>
      </c>
      <c r="F25" s="8">
        <f>G25*1.15</f>
        <v>236.16283142591578</v>
      </c>
      <c r="G25" s="8">
        <f>240*(1-((A28/9)*10)/100)</f>
        <v>205.35898384862244</v>
      </c>
      <c r="H25" s="8">
        <f>I25*1.15</f>
        <v>375.89250668624936</v>
      </c>
      <c r="I25" s="8">
        <f>382*(1-((A28/9)*10)/100)</f>
        <v>326.86304929239077</v>
      </c>
      <c r="J25" s="8">
        <f>K25*1.15</f>
        <v>402.46082522166483</v>
      </c>
      <c r="K25" s="8">
        <f>409*(1-((A28/9)*10)/100)</f>
        <v>349.96593497536077</v>
      </c>
      <c r="L25" s="8">
        <f>M25*1.15</f>
        <v>433.94920274512032</v>
      </c>
      <c r="M25" s="8">
        <f>441*(1-((A28/9)*10)/100)</f>
        <v>377.34713282184379</v>
      </c>
    </row>
    <row r="26" spans="1:14" x14ac:dyDescent="0.25">
      <c r="A26" s="50">
        <v>15</v>
      </c>
      <c r="B26" s="52"/>
      <c r="C26" s="38"/>
      <c r="D26" s="38"/>
      <c r="E26" s="2">
        <v>1000</v>
      </c>
      <c r="F26" s="8">
        <f t="shared" ref="F26:F32" si="0">G26*1.15</f>
        <v>256.82707917568342</v>
      </c>
      <c r="G26" s="8">
        <f>261*(1-((A28/9)*10)/100)</f>
        <v>223.32789493537692</v>
      </c>
      <c r="H26" s="8">
        <f t="shared" ref="H26:H32" si="1">I26*1.15</f>
        <v>409.34890780492071</v>
      </c>
      <c r="I26" s="8">
        <f>416*(1-((A28/9)*10)/100)</f>
        <v>355.95557200427891</v>
      </c>
      <c r="J26" s="8">
        <f t="shared" ref="J26:J32" si="2">K26*1.15</f>
        <v>437.88524993555222</v>
      </c>
      <c r="K26" s="8">
        <f>445*(1-((A28/9)*10)/100)</f>
        <v>380.76978255265414</v>
      </c>
      <c r="L26" s="8">
        <f t="shared" ref="L26:L32" si="3">M26*1.15</f>
        <v>472.32566285183157</v>
      </c>
      <c r="M26" s="8">
        <f>480*(1-((A28/9)*10)/100)</f>
        <v>410.71796769724489</v>
      </c>
    </row>
    <row r="27" spans="1:14" x14ac:dyDescent="0.25">
      <c r="A27" s="41" t="s">
        <v>24</v>
      </c>
      <c r="B27" s="42"/>
      <c r="C27" s="43">
        <v>1043</v>
      </c>
      <c r="D27" s="43"/>
      <c r="E27" s="2">
        <v>0</v>
      </c>
      <c r="F27" s="8">
        <f t="shared" si="0"/>
        <v>216.48259547375616</v>
      </c>
      <c r="G27" s="8">
        <f>220*(1-((A28/9)*10)/100)</f>
        <v>188.24573519457059</v>
      </c>
      <c r="H27" s="8">
        <f t="shared" si="1"/>
        <v>346.37215275800986</v>
      </c>
      <c r="I27" s="8">
        <f>352*(1-((A28/9)*10)/100)</f>
        <v>301.19317631131293</v>
      </c>
      <c r="J27" s="8">
        <f t="shared" si="2"/>
        <v>372.94047129342539</v>
      </c>
      <c r="K27" s="8">
        <f>379*(1-((A28/9)*10)/100)</f>
        <v>324.29606199428298</v>
      </c>
      <c r="L27" s="8">
        <f t="shared" si="3"/>
        <v>399.50878982884092</v>
      </c>
      <c r="M27" s="8">
        <f>406*(1-((A28/9)*10)/100)</f>
        <v>347.39894767725298</v>
      </c>
    </row>
    <row r="28" spans="1:14" x14ac:dyDescent="0.25">
      <c r="A28" s="39">
        <f>COS(RADIANS(A24))*A26</f>
        <v>12.99038105676658</v>
      </c>
      <c r="B28" s="40"/>
      <c r="C28" s="43"/>
      <c r="D28" s="43"/>
      <c r="E28" s="2">
        <v>1000</v>
      </c>
      <c r="F28" s="8">
        <f t="shared" si="0"/>
        <v>237.1468432235238</v>
      </c>
      <c r="G28" s="8">
        <f>241*(1-((A28/9)*10)/100)</f>
        <v>206.21464628132506</v>
      </c>
      <c r="H28" s="8">
        <f t="shared" si="1"/>
        <v>379.82855387668127</v>
      </c>
      <c r="I28" s="8">
        <f>386*(1-((A28/9)*10)/100)</f>
        <v>330.28569902320112</v>
      </c>
      <c r="J28" s="8">
        <f t="shared" si="2"/>
        <v>408.36489600731278</v>
      </c>
      <c r="K28" s="8">
        <f>415*(1-((A28/9)*10)/100)</f>
        <v>355.09990957157635</v>
      </c>
      <c r="L28" s="8">
        <f t="shared" si="3"/>
        <v>437.88524993555222</v>
      </c>
      <c r="M28" s="8">
        <f>445*(1-((A28/9)*10)/100)</f>
        <v>380.76978255265414</v>
      </c>
    </row>
    <row r="29" spans="1:14" x14ac:dyDescent="0.25">
      <c r="A29" s="41" t="s">
        <v>25</v>
      </c>
      <c r="B29" s="42"/>
      <c r="C29" s="24">
        <v>953</v>
      </c>
      <c r="D29" s="24"/>
      <c r="E29" s="2">
        <v>0</v>
      </c>
      <c r="F29" s="8">
        <f t="shared" si="0"/>
        <v>175.15409997422091</v>
      </c>
      <c r="G29" s="8">
        <f>178*(1-((A28/9)*10)/100)</f>
        <v>152.30791302106167</v>
      </c>
      <c r="H29" s="8">
        <f t="shared" si="1"/>
        <v>281.42737411588303</v>
      </c>
      <c r="I29" s="8">
        <f>286*(1-((A28/9)*10)/100)</f>
        <v>244.71945575294177</v>
      </c>
      <c r="J29" s="8">
        <f t="shared" si="2"/>
        <v>304.05964546086659</v>
      </c>
      <c r="K29" s="8">
        <f>309*(1-((A28/9)*10)/100)</f>
        <v>264.39969170510142</v>
      </c>
      <c r="L29" s="8">
        <f t="shared" si="3"/>
        <v>323.73988141302624</v>
      </c>
      <c r="M29" s="8">
        <f>329*(1-((A28/9)*10)/100)</f>
        <v>281.51294035915328</v>
      </c>
    </row>
    <row r="30" spans="1:14" x14ac:dyDescent="0.25">
      <c r="A30" s="39">
        <f>SIN(RADIANS(A24))*A26</f>
        <v>7.4999999999999991</v>
      </c>
      <c r="B30" s="40"/>
      <c r="C30" s="24"/>
      <c r="D30" s="24"/>
      <c r="E30" s="2">
        <v>1000</v>
      </c>
      <c r="F30" s="8">
        <f t="shared" si="0"/>
        <v>191.88230053355659</v>
      </c>
      <c r="G30" s="8">
        <f>195*(1-((A28/9)*10)/100)</f>
        <v>166.85417437700573</v>
      </c>
      <c r="H30" s="8">
        <f t="shared" si="1"/>
        <v>307.9956926512985</v>
      </c>
      <c r="I30" s="8">
        <f>313*(1-((A28/9)*10)/100)</f>
        <v>267.82234143591177</v>
      </c>
      <c r="J30" s="8">
        <f t="shared" si="2"/>
        <v>330.62796399628212</v>
      </c>
      <c r="K30" s="8">
        <f>336*(1-((A28/9)*10)/100)</f>
        <v>287.50257738807142</v>
      </c>
      <c r="L30" s="8">
        <f t="shared" si="3"/>
        <v>355.22825893648172</v>
      </c>
      <c r="M30" s="8">
        <f>361*(1-((A28/9)*10)/100)</f>
        <v>308.8941382056363</v>
      </c>
    </row>
    <row r="31" spans="1:14" x14ac:dyDescent="0.25">
      <c r="A31" s="5"/>
      <c r="B31" s="6"/>
      <c r="C31" s="24">
        <v>862</v>
      </c>
      <c r="D31" s="24"/>
      <c r="E31" s="2">
        <v>0</v>
      </c>
      <c r="F31" s="8">
        <f t="shared" si="0"/>
        <v>140.71368705794151</v>
      </c>
      <c r="G31" s="8">
        <f>143*(1-((A28/9)*10)/100)</f>
        <v>122.35972787647088</v>
      </c>
      <c r="H31" s="8">
        <f t="shared" si="1"/>
        <v>225.338701652228</v>
      </c>
      <c r="I31" s="8">
        <f>229*(1-((A28/9)*10)/100)</f>
        <v>195.94669708889393</v>
      </c>
      <c r="J31" s="8">
        <f t="shared" si="2"/>
        <v>241.08289041395574</v>
      </c>
      <c r="K31" s="8">
        <f>245*(1-((A28/9)*10)/100)</f>
        <v>209.63729601213544</v>
      </c>
      <c r="L31" s="8">
        <f t="shared" si="3"/>
        <v>258.7951027708994</v>
      </c>
      <c r="M31" s="8">
        <f>263*(1-((A28/9)*10)/100)</f>
        <v>225.03921980078212</v>
      </c>
    </row>
    <row r="32" spans="1:14" x14ac:dyDescent="0.25">
      <c r="C32" s="24"/>
      <c r="D32" s="24"/>
      <c r="E32" s="2">
        <v>1000</v>
      </c>
      <c r="F32" s="8">
        <f t="shared" si="0"/>
        <v>154.48985222445324</v>
      </c>
      <c r="G32" s="8">
        <f>157*(1-((A28/9)*10)/100)</f>
        <v>134.33900193430719</v>
      </c>
      <c r="H32" s="8">
        <f t="shared" si="1"/>
        <v>246.00294940199564</v>
      </c>
      <c r="I32" s="8">
        <f>250*(1-((A28/9)*10)/100)</f>
        <v>213.9156081756484</v>
      </c>
      <c r="J32" s="8">
        <f t="shared" si="2"/>
        <v>262.73114996133131</v>
      </c>
      <c r="K32" s="8">
        <f>267*(1-((A28/9)*10)/100)</f>
        <v>228.46186953159247</v>
      </c>
      <c r="L32" s="8">
        <f t="shared" si="3"/>
        <v>283.39539771109895</v>
      </c>
      <c r="M32" s="8">
        <f>288*(1-((A28/9)*10)/100)</f>
        <v>246.43078061834694</v>
      </c>
    </row>
  </sheetData>
  <sheetProtection algorithmName="SHA-512" hashValue="FSWSurQQuPEbH1ScOWt9/8EygBSQEnKlhlXbj26lp4pa10PG+Fp2BaQKwuKxXqK8cqPqLDoRn/bFNzC/WzV0mg==" saltValue="DDrV3Vr8Kg+7TfVFWtEhZw==" spinCount="100000" sheet="1" objects="1" scenarios="1"/>
  <mergeCells count="74">
    <mergeCell ref="C31:D32"/>
    <mergeCell ref="A26:B26"/>
    <mergeCell ref="C23:D24"/>
    <mergeCell ref="F23:G23"/>
    <mergeCell ref="H23:I23"/>
    <mergeCell ref="C25:D26"/>
    <mergeCell ref="A30:B30"/>
    <mergeCell ref="A27:B27"/>
    <mergeCell ref="A29:B29"/>
    <mergeCell ref="A28:B28"/>
    <mergeCell ref="C27:D28"/>
    <mergeCell ref="C29:D30"/>
    <mergeCell ref="H19:N20"/>
    <mergeCell ref="A21:N22"/>
    <mergeCell ref="A23:B23"/>
    <mergeCell ref="A25:B25"/>
    <mergeCell ref="A24:B24"/>
    <mergeCell ref="J23:K23"/>
    <mergeCell ref="L23:M23"/>
    <mergeCell ref="H17:J18"/>
    <mergeCell ref="K17:K18"/>
    <mergeCell ref="L17:L18"/>
    <mergeCell ref="M17:M18"/>
    <mergeCell ref="N17:N18"/>
    <mergeCell ref="H15:J16"/>
    <mergeCell ref="K15:K16"/>
    <mergeCell ref="L15:L16"/>
    <mergeCell ref="M15:M16"/>
    <mergeCell ref="N15:N16"/>
    <mergeCell ref="H13:J14"/>
    <mergeCell ref="K13:K14"/>
    <mergeCell ref="L13:L14"/>
    <mergeCell ref="M13:M14"/>
    <mergeCell ref="N13:N14"/>
    <mergeCell ref="H11:J12"/>
    <mergeCell ref="K11:K12"/>
    <mergeCell ref="L11:L12"/>
    <mergeCell ref="M11:M12"/>
    <mergeCell ref="N11:N12"/>
    <mergeCell ref="H9:J10"/>
    <mergeCell ref="K9:K10"/>
    <mergeCell ref="L9:L10"/>
    <mergeCell ref="M9:M10"/>
    <mergeCell ref="N9:N10"/>
    <mergeCell ref="H7:J8"/>
    <mergeCell ref="K7:K8"/>
    <mergeCell ref="L7:L8"/>
    <mergeCell ref="M7:M8"/>
    <mergeCell ref="N7:N8"/>
    <mergeCell ref="M5:M6"/>
    <mergeCell ref="N5:N6"/>
    <mergeCell ref="A6:C6"/>
    <mergeCell ref="D6:F6"/>
    <mergeCell ref="A3:C3"/>
    <mergeCell ref="D3:F3"/>
    <mergeCell ref="H3:J4"/>
    <mergeCell ref="A5:C5"/>
    <mergeCell ref="D5:F5"/>
    <mergeCell ref="H5:J6"/>
    <mergeCell ref="K5:K6"/>
    <mergeCell ref="L5:L6"/>
    <mergeCell ref="M1:N2"/>
    <mergeCell ref="A2:C2"/>
    <mergeCell ref="D2:F2"/>
    <mergeCell ref="K3:K4"/>
    <mergeCell ref="L3:L4"/>
    <mergeCell ref="A1:C1"/>
    <mergeCell ref="D1:F1"/>
    <mergeCell ref="H1:J2"/>
    <mergeCell ref="K1:L2"/>
    <mergeCell ref="M3:M4"/>
    <mergeCell ref="N3:N4"/>
    <mergeCell ref="A4:C4"/>
    <mergeCell ref="D4:F4"/>
  </mergeCells>
  <phoneticPr fontId="7" type="noConversion"/>
  <conditionalFormatting sqref="A30:B30">
    <cfRule type="cellIs" dxfId="1" priority="2" operator="greaterThan">
      <formula>15</formula>
    </cfRule>
  </conditionalFormatting>
  <conditionalFormatting sqref="M17:M18">
    <cfRule type="cellIs" dxfId="0" priority="1" operator="greaterThan">
      <formula>1089</formula>
    </cfRule>
  </conditionalFormatting>
  <pageMargins left="0.25" right="0.25" top="0.75" bottom="0.75" header="0.3" footer="0.3"/>
  <pageSetup paperSize="9" orientation="landscape" horizontalDpi="4294967293" verticalDpi="4294967293" r:id="rId1"/>
  <headerFooter>
    <oddHeader>&amp;C&amp;"-,Vet"&amp;16Weight &amp; Balance PH-JPO</oddHead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Meinders</dc:creator>
  <cp:lastModifiedBy>Dennis Meinders</cp:lastModifiedBy>
  <cp:lastPrinted>2015-04-19T10:39:30Z</cp:lastPrinted>
  <dcterms:created xsi:type="dcterms:W3CDTF">2015-04-19T09:14:32Z</dcterms:created>
  <dcterms:modified xsi:type="dcterms:W3CDTF">2016-02-26T11:19:39Z</dcterms:modified>
</cp:coreProperties>
</file>